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aramètres" sheetId="1" state="visible" r:id="rId3"/>
    <sheet name="Flux" sheetId="2" state="visible" r:id="rId4"/>
    <sheet name="Sensibilité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<sst xmlns="http://schemas.openxmlformats.org/spreadsheetml/2006/main" count="62" uniqueCount="49">
  <si>
    <t xml:space="preserve">Acheter, louer ou sous-traiter — Atelier Mistral inc. (fictive)</t>
  </si>
  <si>
    <t xml:space="preserve">Démonstration Cosmologix · 2026-10-21 · Modifier les cellules bleues; les coûts et le classement se recalculent.</t>
  </si>
  <si>
    <t xml:space="preserve">Volume la 1re année (panneaux)</t>
  </si>
  <si>
    <t xml:space="preserve">Croissance annuelle du volume</t>
  </si>
  <si>
    <t xml:space="preserve">Prix de sous-traitance par panneau (an 1)</t>
  </si>
  <si>
    <t xml:space="preserve">Indexation annuelle du prix de sous-traitance</t>
  </si>
  <si>
    <t xml:space="preserve">Prix de la machine installée</t>
  </si>
  <si>
    <t xml:space="preserve">Valeur résiduelle à la fin de l'horizon</t>
  </si>
  <si>
    <t xml:space="preserve">Opérateur (coût annuel)</t>
  </si>
  <si>
    <t xml:space="preserve">Entretien (coût annuel)</t>
  </si>
  <si>
    <t xml:space="preserve">Énergie (coût annuel)</t>
  </si>
  <si>
    <t xml:space="preserve">Consommables par panneau</t>
  </si>
  <si>
    <t xml:space="preserve">Loyer mensuel du crédit-bail</t>
  </si>
  <si>
    <t xml:space="preserve">Durée du crédit-bail (années)</t>
  </si>
  <si>
    <t xml:space="preserve">Prix de rachat à la fin du crédit-bail</t>
  </si>
  <si>
    <t xml:space="preserve">Taux d'actualisation</t>
  </si>
  <si>
    <t xml:space="preserve">Horizon : 7 ans · analyse avant impôts (amortissement fiscal et crédits d'impôt exclus, à valider par le comptable).</t>
  </si>
  <si>
    <t xml:space="preserve">Flux annuels de coûts (sorties positives)</t>
  </si>
  <si>
    <t xml:space="preserve">Calculés à partir des paramètres</t>
  </si>
  <si>
    <t xml:space="preserve">Ligne</t>
  </si>
  <si>
    <t xml:space="preserve">An 0</t>
  </si>
  <si>
    <t xml:space="preserve">An 1</t>
  </si>
  <si>
    <t xml:space="preserve">An 2</t>
  </si>
  <si>
    <t xml:space="preserve">An 3</t>
  </si>
  <si>
    <t xml:space="preserve">An 4</t>
  </si>
  <si>
    <t xml:space="preserve">An 5</t>
  </si>
  <si>
    <t xml:space="preserve">An 6</t>
  </si>
  <si>
    <t xml:space="preserve">An 7</t>
  </si>
  <si>
    <t xml:space="preserve">Coût actualisé</t>
  </si>
  <si>
    <t xml:space="preserve">Volume (panneaux)</t>
  </si>
  <si>
    <t xml:space="preserve">Facteur d'actualisation</t>
  </si>
  <si>
    <t xml:space="preserve">Sous-traitance</t>
  </si>
  <si>
    <t xml:space="preserve">Exploitation interne</t>
  </si>
  <si>
    <t xml:space="preserve">Achat</t>
  </si>
  <si>
    <t xml:space="preserve">Crédit-bail</t>
  </si>
  <si>
    <t xml:space="preserve">Option la moins coûteuse</t>
  </si>
  <si>
    <t xml:space="preserve">Écart crédit-bail − achat (actualisé)</t>
  </si>
  <si>
    <t xml:space="preserve">Coûts cumulés (non actualisés)</t>
  </si>
  <si>
    <t xml:space="preserve">Seuil de volume : dans Excel, Données &gt; Analyse de scénarios &gt; Valeur cible, mettre B13 de la feuille Sensibilité à 0 en modifiant le volume des Paramètres.</t>
  </si>
  <si>
    <t xml:space="preserve">Écart achat − sous-traitance</t>
  </si>
  <si>
    <t xml:space="preserve">Négatif : l'achat est moins coûteux; positif : la sous-traitance l'est</t>
  </si>
  <si>
    <t xml:space="preserve">Coût actualisé sous-traitance</t>
  </si>
  <si>
    <t xml:space="preserve">Coût actualisé achat</t>
  </si>
  <si>
    <t xml:space="preserve">Repères calculés (taux de 8 %) :</t>
  </si>
  <si>
    <t xml:space="preserve">1 200 panneaux</t>
  </si>
  <si>
    <t xml:space="preserve">≈ 1 435 panneaux</t>
  </si>
  <si>
    <t xml:space="preserve">Seuil</t>
  </si>
  <si>
    <t xml:space="preserve">1 900 panneaux (actuel)</t>
  </si>
  <si>
    <t xml:space="preserve">Achat ou crédit-bail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</si>
</sst>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"/>
    <numFmt numFmtId="166" formatCode="0.0%"/>
    <numFmt numFmtId="167" formatCode="#,##0.00&quot; $&quot;"/>
    <numFmt numFmtId="168" formatCode="#,##0&quot; $&quot;"/>
    <numFmt numFmtId="169" formatCode="0"/>
    <numFmt numFmtId="170" formatCode="0.00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13263F"/>
      <name val="Arial"/>
      <family val="0"/>
      <charset val="1"/>
    </font>
    <font>
      <i val="true"/>
      <sz val="9"/>
      <color rgb="FF5B6878"/>
      <name val="Arial"/>
      <family val="0"/>
      <charset val="1"/>
    </font>
    <font>
      <sz val="9.5"/>
      <name val="Arial"/>
      <family val="0"/>
      <charset val="1"/>
    </font>
    <font>
      <sz val="9.5"/>
      <color rgb="FF0000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b val="true"/>
      <sz val="9.5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9.5"/>
      <color rgb="FF13263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8D6"/>
        <bgColor rgb="FFFBF0DF"/>
      </patternFill>
    </fill>
    <fill>
      <patternFill patternType="solid">
        <fgColor rgb="FF13263F"/>
        <bgColor rgb="FF333333"/>
      </patternFill>
    </fill>
    <fill>
      <patternFill patternType="solid">
        <fgColor rgb="FFE3F2EC"/>
        <bgColor rgb="FFFBF0DF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6DCE4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E3F2EC"/>
        </patternFill>
      </fill>
    </dxf>
    <dxf>
      <fill>
        <patternFill>
          <bgColor rgb="FFFBF0DF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878787"/>
      <rgbColor rgb="FF9999FF"/>
      <rgbColor rgb="FFBE4B48"/>
      <rgbColor rgb="FFFFF8D6"/>
      <rgbColor rgb="FFE3F2EC"/>
      <rgbColor rgb="FF660066"/>
      <rgbColor rgb="FFFF8080"/>
      <rgbColor rgb="FF0066CC"/>
      <rgbColor rgb="FFD6D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BF0DF"/>
      <rgbColor rgb="FF99CCFF"/>
      <rgbColor rgb="FFFF99CC"/>
      <rgbColor rgb="FFCC99FF"/>
      <rgbColor rgb="FFFFCC99"/>
      <rgbColor rgb="FF4A7EBB"/>
      <rgbColor rgb="FF33CCCC"/>
      <rgbColor rgb="FF98B855"/>
      <rgbColor rgb="FFFFCC00"/>
      <rgbColor rgb="FFFF9900"/>
      <rgbColor rgb="FFFF6600"/>
      <rgbColor rgb="FF5B6878"/>
      <rgbColor rgb="FF969696"/>
      <rgbColor rgb="FF13263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Coûts cumulés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ineChart>
        <c:grouping val="standard"/>
        <c:varyColors val="0"/>
        <c:ser>
          <c:idx val="0"/>
          <c:order val="0"/>
          <c:tx>
            <c:strRef>
              <c:f>Flux!A16</c:f>
              <c:strCache>
                <c:ptCount val="1"/>
                <c:pt idx="0">
                  <c:v>Sous-traitance</c:v>
                </c:pt>
              </c:strCache>
            </c:strRef>
          </c:tx>
          <c:spPr>
            <a:solidFill>
              <a:srgbClr val="4a7ebb"/>
            </a:solidFill>
            <a:ln w="28440">
              <a:solidFill>
                <a:srgbClr val="4a7ebb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Flux!$B$15:$I$15</c:f>
              <c:strCache>
                <c:ptCount val="8"/>
                <c:pt idx="0">
                  <c:v>An 0</c:v>
                </c:pt>
                <c:pt idx="1">
                  <c:v>An 1</c:v>
                </c:pt>
                <c:pt idx="2">
                  <c:v>An 2</c:v>
                </c:pt>
                <c:pt idx="3">
                  <c:v>An 3</c:v>
                </c:pt>
                <c:pt idx="4">
                  <c:v>An 4</c:v>
                </c:pt>
                <c:pt idx="5">
                  <c:v>An 5</c:v>
                </c:pt>
                <c:pt idx="6">
                  <c:v>An 6</c:v>
                </c:pt>
                <c:pt idx="7">
                  <c:v>An 7</c:v>
                </c:pt>
              </c:strCache>
            </c:strRef>
          </c:cat>
          <c:val>
            <c:numRef>
              <c:f>Flux!$B$16:$I$16</c:f>
              <c:numCache>
                <c:formatCode>#,##0" $"</c:formatCode>
                <c:ptCount val="8"/>
                <c:pt idx="0">
                  <c:v>0</c:v>
                </c:pt>
                <c:pt idx="1">
                  <c:v>117800</c:v>
                </c:pt>
                <c:pt idx="2">
                  <c:v>243374.8</c:v>
                </c:pt>
                <c:pt idx="3">
                  <c:v>377237.5368</c:v>
                </c:pt>
                <c:pt idx="4">
                  <c:v>519935.2142288</c:v>
                </c:pt>
                <c:pt idx="5">
                  <c:v>672050.938367901</c:v>
                </c:pt>
                <c:pt idx="6">
                  <c:v>834206.300300182</c:v>
                </c:pt>
                <c:pt idx="7">
                  <c:v>1007063.91611999</c:v>
                </c:pt>
              </c:numCache>
            </c:numRef>
          </c:val>
          <c:smooth val="1"/>
        </c:ser>
        <c:ser>
          <c:idx val="1"/>
          <c:order val="1"/>
          <c:tx>
            <c:strRef>
              <c:f>Flux!A17</c:f>
              <c:strCache>
                <c:ptCount val="1"/>
                <c:pt idx="0">
                  <c:v>Achat</c:v>
                </c:pt>
              </c:strCache>
            </c:strRef>
          </c:tx>
          <c:spPr>
            <a:solidFill>
              <a:srgbClr val="be4b48"/>
            </a:solidFill>
            <a:ln w="28440">
              <a:solidFill>
                <a:srgbClr val="be4b48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Flux!$B$15:$I$15</c:f>
              <c:strCache>
                <c:ptCount val="8"/>
                <c:pt idx="0">
                  <c:v>An 0</c:v>
                </c:pt>
                <c:pt idx="1">
                  <c:v>An 1</c:v>
                </c:pt>
                <c:pt idx="2">
                  <c:v>An 2</c:v>
                </c:pt>
                <c:pt idx="3">
                  <c:v>An 3</c:v>
                </c:pt>
                <c:pt idx="4">
                  <c:v>An 4</c:v>
                </c:pt>
                <c:pt idx="5">
                  <c:v>An 5</c:v>
                </c:pt>
                <c:pt idx="6">
                  <c:v>An 6</c:v>
                </c:pt>
                <c:pt idx="7">
                  <c:v>An 7</c:v>
                </c:pt>
              </c:strCache>
            </c:strRef>
          </c:cat>
          <c:val>
            <c:numRef>
              <c:f>Flux!$B$17:$I$17</c:f>
              <c:numCache>
                <c:formatCode>#,##0" $"</c:formatCode>
                <c:ptCount val="8"/>
                <c:pt idx="0">
                  <c:v>285000</c:v>
                </c:pt>
                <c:pt idx="1">
                  <c:v>345900</c:v>
                </c:pt>
                <c:pt idx="2">
                  <c:v>407408</c:v>
                </c:pt>
                <c:pt idx="3">
                  <c:v>469548.32</c:v>
                </c:pt>
                <c:pt idx="4">
                  <c:v>532346.2528</c:v>
                </c:pt>
                <c:pt idx="5">
                  <c:v>595828.102912</c:v>
                </c:pt>
                <c:pt idx="6">
                  <c:v>660021.22702848</c:v>
                </c:pt>
                <c:pt idx="7">
                  <c:v>664954.076109619</c:v>
                </c:pt>
              </c:numCache>
            </c:numRef>
          </c:val>
          <c:smooth val="1"/>
        </c:ser>
        <c:ser>
          <c:idx val="2"/>
          <c:order val="2"/>
          <c:tx>
            <c:strRef>
              <c:f>Flux!A18</c:f>
              <c:strCache>
                <c:ptCount val="1"/>
                <c:pt idx="0">
                  <c:v>Crédit-bail</c:v>
                </c:pt>
              </c:strCache>
            </c:strRef>
          </c:tx>
          <c:spPr>
            <a:solidFill>
              <a:srgbClr val="98b855"/>
            </a:solidFill>
            <a:ln w="28440">
              <a:solidFill>
                <a:srgbClr val="98b855"/>
              </a:solidFill>
              <a:round/>
            </a:ln>
          </c:spPr>
          <c:marker>
            <c:symbol val="none"/>
          </c:marker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Flux!$B$15:$I$15</c:f>
              <c:strCache>
                <c:ptCount val="8"/>
                <c:pt idx="0">
                  <c:v>An 0</c:v>
                </c:pt>
                <c:pt idx="1">
                  <c:v>An 1</c:v>
                </c:pt>
                <c:pt idx="2">
                  <c:v>An 2</c:v>
                </c:pt>
                <c:pt idx="3">
                  <c:v>An 3</c:v>
                </c:pt>
                <c:pt idx="4">
                  <c:v>An 4</c:v>
                </c:pt>
                <c:pt idx="5">
                  <c:v>An 5</c:v>
                </c:pt>
                <c:pt idx="6">
                  <c:v>An 6</c:v>
                </c:pt>
                <c:pt idx="7">
                  <c:v>An 7</c:v>
                </c:pt>
              </c:strCache>
            </c:strRef>
          </c:cat>
          <c:val>
            <c:numRef>
              <c:f>Flux!$B$18:$I$18</c:f>
              <c:numCache>
                <c:formatCode>#,##0" $"</c:formatCode>
                <c:ptCount val="8"/>
                <c:pt idx="0">
                  <c:v>0</c:v>
                </c:pt>
                <c:pt idx="1">
                  <c:v>131700</c:v>
                </c:pt>
                <c:pt idx="2">
                  <c:v>264008</c:v>
                </c:pt>
                <c:pt idx="3">
                  <c:v>396948.32</c:v>
                </c:pt>
                <c:pt idx="4">
                  <c:v>530546.2528</c:v>
                </c:pt>
                <c:pt idx="5">
                  <c:v>679828.102912</c:v>
                </c:pt>
                <c:pt idx="6">
                  <c:v>744021.22702848</c:v>
                </c:pt>
                <c:pt idx="7">
                  <c:v>748954.076109619</c:v>
                </c:pt>
              </c:numCache>
            </c:numRef>
          </c:val>
          <c:smooth val="1"/>
        </c:ser>
        <c:hiLowLines>
          <c:spPr>
            <a:ln w="0">
              <a:noFill/>
            </a:ln>
          </c:spPr>
        </c:hiLowLines>
        <c:marker val="0"/>
        <c:axId val="63816088"/>
        <c:axId val="49934019"/>
      </c:lineChart>
      <c:catAx>
        <c:axId val="638160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49934019"/>
        <c:crosses val="autoZero"/>
        <c:auto val="1"/>
        <c:lblAlgn val="ctr"/>
        <c:lblOffset val="100"/>
        <c:noMultiLvlLbl val="0"/>
      </c:catAx>
      <c:valAx>
        <c:axId val="49934019"/>
        <c:scaling>
          <c:orientation val="minMax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#,##0&quot; $&quot;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63816088"/>
        <c:crosses val="autoZero"/>
        <c:crossBetween val="between"/>
      </c:valAx>
      <c:spPr>
        <a:noFill/>
        <a:ln w="0">
          <a:noFill/>
        </a:ln>
      </c:spPr>
    </c:plotArea>
    <c:legend>
      <c:legendPos val="r"/>
      <c:overlay val="0"/>
      <c:spPr>
        <a:noFill/>
        <a:ln w="0">
          <a:noFill/>
        </a:ln>
      </c:spPr>
      <c:txPr>
        <a:bodyPr/>
        <a:lstStyle/>
        <a:p>
          <a:pPr>
            <a:defRPr b="0" sz="1000" spc="-1" strike="noStrike">
              <a:solidFill>
                <a:srgbClr val="000000"/>
              </a:solidFill>
              <a:latin typeface="Calibri"/>
            </a:defRPr>
          </a:pPr>
        </a:p>
      </c:txPr>
    </c:legend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20</xdr:row>
      <xdr:rowOff>145440</xdr:rowOff>
    </xdr:from>
    <xdr:to>
      <xdr:col>5</xdr:col>
      <xdr:colOff>417960</xdr:colOff>
      <xdr:row>35</xdr:row>
      <xdr:rowOff>167760</xdr:rowOff>
    </xdr:to>
    <xdr:graphicFrame>
      <xdr:nvGraphicFramePr>
        <xdr:cNvPr id="0" name="Chart 1"/>
        <xdr:cNvGraphicFramePr/>
      </xdr:nvGraphicFramePr>
      <xdr:xfrm>
        <a:off x="0" y="4000680"/>
        <a:ext cx="6479640" cy="2879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0"/>
    <col collapsed="false" customWidth="true" hidden="false" outlineLevel="0" max="2" min="2" style="0" width="18"/>
  </cols>
  <sheetData>
    <row r="1" customFormat="false" ht="18.5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1900</v>
      </c>
    </row>
    <row r="5" customFormat="false" ht="15" hidden="false" customHeight="false" outlineLevel="0" collapsed="false">
      <c r="A5" s="3" t="s">
        <v>3</v>
      </c>
      <c r="B5" s="5" t="n">
        <v>0.04</v>
      </c>
    </row>
    <row r="6" customFormat="false" ht="15" hidden="false" customHeight="false" outlineLevel="0" collapsed="false">
      <c r="A6" s="3" t="s">
        <v>4</v>
      </c>
      <c r="B6" s="6" t="n">
        <v>62</v>
      </c>
    </row>
    <row r="7" customFormat="false" ht="15" hidden="false" customHeight="false" outlineLevel="0" collapsed="false">
      <c r="A7" s="3" t="s">
        <v>5</v>
      </c>
      <c r="B7" s="5" t="n">
        <v>0.025</v>
      </c>
    </row>
    <row r="8" customFormat="false" ht="15" hidden="false" customHeight="false" outlineLevel="0" collapsed="false">
      <c r="A8" s="3" t="s">
        <v>6</v>
      </c>
      <c r="B8" s="7" t="n">
        <v>285000</v>
      </c>
    </row>
    <row r="9" customFormat="false" ht="15" hidden="false" customHeight="false" outlineLevel="0" collapsed="false">
      <c r="A9" s="3" t="s">
        <v>7</v>
      </c>
      <c r="B9" s="7" t="n">
        <v>60000</v>
      </c>
    </row>
    <row r="10" customFormat="false" ht="15" hidden="false" customHeight="false" outlineLevel="0" collapsed="false">
      <c r="A10" s="3" t="s">
        <v>8</v>
      </c>
      <c r="B10" s="7" t="n">
        <v>32000</v>
      </c>
    </row>
    <row r="11" customFormat="false" ht="15" hidden="false" customHeight="false" outlineLevel="0" collapsed="false">
      <c r="A11" s="3" t="s">
        <v>9</v>
      </c>
      <c r="B11" s="7" t="n">
        <v>9500</v>
      </c>
    </row>
    <row r="12" customFormat="false" ht="15" hidden="false" customHeight="false" outlineLevel="0" collapsed="false">
      <c r="A12" s="3" t="s">
        <v>10</v>
      </c>
      <c r="B12" s="7" t="n">
        <v>4200</v>
      </c>
    </row>
    <row r="13" customFormat="false" ht="15" hidden="false" customHeight="false" outlineLevel="0" collapsed="false">
      <c r="A13" s="3" t="s">
        <v>11</v>
      </c>
      <c r="B13" s="6" t="n">
        <v>8</v>
      </c>
    </row>
    <row r="14" customFormat="false" ht="15" hidden="false" customHeight="false" outlineLevel="0" collapsed="false">
      <c r="A14" s="3" t="s">
        <v>12</v>
      </c>
      <c r="B14" s="7" t="n">
        <v>5900</v>
      </c>
    </row>
    <row r="15" customFormat="false" ht="15" hidden="false" customHeight="false" outlineLevel="0" collapsed="false">
      <c r="A15" s="3" t="s">
        <v>13</v>
      </c>
      <c r="B15" s="8" t="n">
        <v>5</v>
      </c>
    </row>
    <row r="16" customFormat="false" ht="15" hidden="false" customHeight="false" outlineLevel="0" collapsed="false">
      <c r="A16" s="3" t="s">
        <v>14</v>
      </c>
      <c r="B16" s="7" t="n">
        <v>15000</v>
      </c>
    </row>
    <row r="17" customFormat="false" ht="15" hidden="false" customHeight="false" outlineLevel="0" collapsed="false">
      <c r="A17" s="3" t="s">
        <v>15</v>
      </c>
      <c r="B17" s="5" t="n">
        <v>0.08</v>
      </c>
    </row>
    <row r="19" customFormat="false" ht="15" hidden="false" customHeight="false" outlineLevel="0" collapsed="false">
      <c r="A19" s="9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10" min="2" style="0" width="13"/>
  </cols>
  <sheetData>
    <row r="1" customFormat="false" ht="18.55" hidden="false" customHeight="false" outlineLevel="0" collapsed="false">
      <c r="A1" s="1" t="s">
        <v>17</v>
      </c>
    </row>
    <row r="2" customFormat="false" ht="15" hidden="false" customHeight="false" outlineLevel="0" collapsed="false">
      <c r="A2" s="2" t="s">
        <v>18</v>
      </c>
    </row>
    <row r="4" customFormat="false" ht="15" hidden="false" customHeight="false" outlineLevel="0" collapsed="false">
      <c r="A4" s="10" t="s">
        <v>19</v>
      </c>
      <c r="B4" s="10" t="s">
        <v>20</v>
      </c>
      <c r="C4" s="10" t="s">
        <v>21</v>
      </c>
      <c r="D4" s="10" t="s">
        <v>22</v>
      </c>
      <c r="E4" s="10" t="s">
        <v>23</v>
      </c>
      <c r="F4" s="10" t="s">
        <v>24</v>
      </c>
      <c r="G4" s="10" t="s">
        <v>25</v>
      </c>
      <c r="H4" s="10" t="s">
        <v>26</v>
      </c>
      <c r="I4" s="10" t="s">
        <v>27</v>
      </c>
      <c r="J4" s="10" t="s">
        <v>28</v>
      </c>
    </row>
    <row r="5" customFormat="false" ht="15" hidden="false" customHeight="false" outlineLevel="0" collapsed="false">
      <c r="A5" s="3" t="s">
        <v>29</v>
      </c>
      <c r="B5" s="11" t="n">
        <v>0</v>
      </c>
      <c r="C5" s="11" t="n">
        <f aca="false">Paramètres!$B$4*(1+Paramètres!$B$5)^(1-1)</f>
        <v>1900</v>
      </c>
      <c r="D5" s="11" t="n">
        <f aca="false">Paramètres!$B$4*(1+Paramètres!$B$5)^(2-1)</f>
        <v>1976</v>
      </c>
      <c r="E5" s="11" t="n">
        <f aca="false">Paramètres!$B$4*(1+Paramètres!$B$5)^(3-1)</f>
        <v>2055.04</v>
      </c>
      <c r="F5" s="11" t="n">
        <f aca="false">Paramètres!$B$4*(1+Paramètres!$B$5)^(4-1)</f>
        <v>2137.2416</v>
      </c>
      <c r="G5" s="11" t="n">
        <f aca="false">Paramètres!$B$4*(1+Paramètres!$B$5)^(5-1)</f>
        <v>2222.731264</v>
      </c>
      <c r="H5" s="11" t="n">
        <f aca="false">Paramètres!$B$4*(1+Paramètres!$B$5)^(6-1)</f>
        <v>2311.64051456</v>
      </c>
      <c r="I5" s="11" t="n">
        <f aca="false">Paramètres!$B$4*(1+Paramètres!$B$5)^(7-1)</f>
        <v>2404.1061351424</v>
      </c>
    </row>
    <row r="6" customFormat="false" ht="15" hidden="false" customHeight="false" outlineLevel="0" collapsed="false">
      <c r="A6" s="3" t="s">
        <v>30</v>
      </c>
      <c r="B6" s="12" t="n">
        <f aca="false">1/(1+Paramètres!$B$17)^0</f>
        <v>1</v>
      </c>
      <c r="C6" s="12" t="n">
        <f aca="false">1/(1+Paramètres!$B$17)^1</f>
        <v>0.925925925925926</v>
      </c>
      <c r="D6" s="12" t="n">
        <f aca="false">1/(1+Paramètres!$B$17)^2</f>
        <v>0.857338820301783</v>
      </c>
      <c r="E6" s="12" t="n">
        <f aca="false">1/(1+Paramètres!$B$17)^3</f>
        <v>0.79383224102017</v>
      </c>
      <c r="F6" s="12" t="n">
        <f aca="false">1/(1+Paramètres!$B$17)^4</f>
        <v>0.735029852796453</v>
      </c>
      <c r="G6" s="12" t="n">
        <f aca="false">1/(1+Paramètres!$B$17)^5</f>
        <v>0.680583197033753</v>
      </c>
      <c r="H6" s="12" t="n">
        <f aca="false">1/(1+Paramètres!$B$17)^6</f>
        <v>0.630169626883105</v>
      </c>
      <c r="I6" s="12" t="n">
        <f aca="false">1/(1+Paramètres!$B$17)^7</f>
        <v>0.583490395262134</v>
      </c>
    </row>
    <row r="7" customFormat="false" ht="15" hidden="false" customHeight="false" outlineLevel="0" collapsed="false">
      <c r="A7" s="13" t="s">
        <v>31</v>
      </c>
      <c r="B7" s="14" t="n">
        <v>0</v>
      </c>
      <c r="C7" s="14" t="n">
        <f aca="false">C5*Paramètres!$B$6*(1+Paramètres!$B$7)^(1-1)</f>
        <v>117800</v>
      </c>
      <c r="D7" s="14" t="n">
        <f aca="false">D5*Paramètres!$B$6*(1+Paramètres!$B$7)^(2-1)</f>
        <v>125574.8</v>
      </c>
      <c r="E7" s="14" t="n">
        <f aca="false">E5*Paramètres!$B$6*(1+Paramètres!$B$7)^(3-1)</f>
        <v>133862.7368</v>
      </c>
      <c r="F7" s="14" t="n">
        <f aca="false">F5*Paramètres!$B$6*(1+Paramètres!$B$7)^(4-1)</f>
        <v>142697.6774288</v>
      </c>
      <c r="G7" s="14" t="n">
        <f aca="false">G5*Paramètres!$B$6*(1+Paramètres!$B$7)^(5-1)</f>
        <v>152115.724139101</v>
      </c>
      <c r="H7" s="14" t="n">
        <f aca="false">H5*Paramètres!$B$6*(1+Paramètres!$B$7)^(6-1)</f>
        <v>162155.361932281</v>
      </c>
      <c r="I7" s="14" t="n">
        <f aca="false">I5*Paramètres!$B$6*(1+Paramètres!$B$7)^(7-1)</f>
        <v>172857.615819812</v>
      </c>
      <c r="J7" s="15" t="n">
        <f aca="false">SUMPRODUCT(B7:I7,B$6:I$6)</f>
        <v>734459.382502056</v>
      </c>
    </row>
    <row r="8" customFormat="false" ht="15" hidden="false" customHeight="false" outlineLevel="0" collapsed="false">
      <c r="A8" s="13" t="s">
        <v>32</v>
      </c>
      <c r="B8" s="14" t="n">
        <v>0</v>
      </c>
      <c r="C8" s="14" t="n">
        <f aca="false">Paramètres!$B$10+Paramètres!$B$11+Paramètres!$B$12+Paramètres!$B$13*C5</f>
        <v>60900</v>
      </c>
      <c r="D8" s="14" t="n">
        <f aca="false">Paramètres!$B$10+Paramètres!$B$11+Paramètres!$B$12+Paramètres!$B$13*D5</f>
        <v>61508</v>
      </c>
      <c r="E8" s="14" t="n">
        <f aca="false">Paramètres!$B$10+Paramètres!$B$11+Paramètres!$B$12+Paramètres!$B$13*E5</f>
        <v>62140.32</v>
      </c>
      <c r="F8" s="14" t="n">
        <f aca="false">Paramètres!$B$10+Paramètres!$B$11+Paramètres!$B$12+Paramètres!$B$13*F5</f>
        <v>62797.9328</v>
      </c>
      <c r="G8" s="14" t="n">
        <f aca="false">Paramètres!$B$10+Paramètres!$B$11+Paramètres!$B$12+Paramètres!$B$13*G5</f>
        <v>63481.850112</v>
      </c>
      <c r="H8" s="14" t="n">
        <f aca="false">Paramètres!$B$10+Paramètres!$B$11+Paramètres!$B$12+Paramètres!$B$13*H5</f>
        <v>64193.12411648</v>
      </c>
      <c r="I8" s="14" t="n">
        <f aca="false">Paramètres!$B$10+Paramètres!$B$11+Paramètres!$B$12+Paramètres!$B$13*I5</f>
        <v>64932.8490811392</v>
      </c>
    </row>
    <row r="9" customFormat="false" ht="15" hidden="false" customHeight="false" outlineLevel="0" collapsed="false">
      <c r="A9" s="13" t="s">
        <v>33</v>
      </c>
      <c r="B9" s="14" t="n">
        <f aca="false">Paramètres!$B$8</f>
        <v>285000</v>
      </c>
      <c r="C9" s="14" t="n">
        <f aca="false">C8</f>
        <v>60900</v>
      </c>
      <c r="D9" s="14" t="n">
        <f aca="false">D8</f>
        <v>61508</v>
      </c>
      <c r="E9" s="14" t="n">
        <f aca="false">E8</f>
        <v>62140.32</v>
      </c>
      <c r="F9" s="14" t="n">
        <f aca="false">F8</f>
        <v>62797.9328</v>
      </c>
      <c r="G9" s="14" t="n">
        <f aca="false">G8</f>
        <v>63481.850112</v>
      </c>
      <c r="H9" s="14" t="n">
        <f aca="false">H8</f>
        <v>64193.12411648</v>
      </c>
      <c r="I9" s="14" t="n">
        <f aca="false">I8-Paramètres!$B$9</f>
        <v>4932.8490811392</v>
      </c>
      <c r="J9" s="15" t="n">
        <f aca="false">SUMPRODUCT(B9:I9,B$6:I$6)</f>
        <v>576144.937469135</v>
      </c>
    </row>
    <row r="10" customFormat="false" ht="15" hidden="false" customHeight="false" outlineLevel="0" collapsed="false">
      <c r="A10" s="13" t="s">
        <v>34</v>
      </c>
      <c r="B10" s="14" t="n">
        <v>0</v>
      </c>
      <c r="C10" s="14" t="n">
        <f aca="false">C8+IF(1&lt;=Paramètres!$B$15,12*Paramètres!$B$14,0)+IF(1=Paramètres!$B$15,Paramètres!$B$16,0)</f>
        <v>131700</v>
      </c>
      <c r="D10" s="14" t="n">
        <f aca="false">D8+IF(2&lt;=Paramètres!$B$15,12*Paramètres!$B$14,0)+IF(2=Paramètres!$B$15,Paramètres!$B$16,0)</f>
        <v>132308</v>
      </c>
      <c r="E10" s="14" t="n">
        <f aca="false">E8+IF(3&lt;=Paramètres!$B$15,12*Paramètres!$B$14,0)+IF(3=Paramètres!$B$15,Paramètres!$B$16,0)</f>
        <v>132940.32</v>
      </c>
      <c r="F10" s="14" t="n">
        <f aca="false">F8+IF(4&lt;=Paramètres!$B$15,12*Paramètres!$B$14,0)+IF(4=Paramètres!$B$15,Paramètres!$B$16,0)</f>
        <v>133597.9328</v>
      </c>
      <c r="G10" s="14" t="n">
        <f aca="false">G8+IF(5&lt;=Paramètres!$B$15,12*Paramètres!$B$14,0)+IF(5=Paramètres!$B$15,Paramètres!$B$16,0)</f>
        <v>149281.850112</v>
      </c>
      <c r="H10" s="14" t="n">
        <f aca="false">H8+IF(6&lt;=Paramètres!$B$15,12*Paramètres!$B$14,0)+IF(6=Paramètres!$B$15,Paramètres!$B$16,0)</f>
        <v>64193.12411648</v>
      </c>
      <c r="I10" s="14" t="n">
        <f aca="false">I8+IF(7&lt;=Paramètres!$B$15,12*Paramètres!$B$14,0)+IF(7=Paramètres!$B$15,Paramètres!$B$16,0)-Paramètres!$B$9</f>
        <v>4932.8490811392</v>
      </c>
      <c r="J10" s="15" t="n">
        <f aca="false">SUMPRODUCT(B10:I10,B$6:I$6)</f>
        <v>584037.55604977</v>
      </c>
    </row>
    <row r="12" customFormat="false" ht="15" hidden="false" customHeight="false" outlineLevel="0" collapsed="false">
      <c r="A12" s="13" t="s">
        <v>35</v>
      </c>
      <c r="B12" s="16" t="str">
        <f aca="false">INDEX({"Sous-traitance","Achat","Crédit-bail"},MATCH(MIN(J7,J9,J10),CHOOSE({1,2,3},J7,J9,J10),0))</f>
        <v>Achat</v>
      </c>
    </row>
    <row r="13" customFormat="false" ht="15" hidden="false" customHeight="false" outlineLevel="0" collapsed="false">
      <c r="A13" s="3" t="s">
        <v>36</v>
      </c>
      <c r="B13" s="14" t="n">
        <f aca="false">J10-J9</f>
        <v>7892.61858063482</v>
      </c>
    </row>
    <row r="15" customFormat="false" ht="15" hidden="false" customHeight="false" outlineLevel="0" collapsed="false">
      <c r="A15" s="13" t="s">
        <v>37</v>
      </c>
      <c r="B15" s="3" t="s">
        <v>20</v>
      </c>
      <c r="C15" s="3" t="s">
        <v>21</v>
      </c>
      <c r="D15" s="3" t="s">
        <v>22</v>
      </c>
      <c r="E15" s="3" t="s">
        <v>23</v>
      </c>
      <c r="F15" s="3" t="s">
        <v>24</v>
      </c>
      <c r="G15" s="3" t="s">
        <v>25</v>
      </c>
      <c r="H15" s="3" t="s">
        <v>26</v>
      </c>
      <c r="I15" s="3" t="s">
        <v>27</v>
      </c>
    </row>
    <row r="16" customFormat="false" ht="15" hidden="false" customHeight="false" outlineLevel="0" collapsed="false">
      <c r="A16" s="3" t="s">
        <v>31</v>
      </c>
      <c r="B16" s="14" t="n">
        <f aca="false">SUM($B7:B7)</f>
        <v>0</v>
      </c>
      <c r="C16" s="14" t="n">
        <f aca="false">SUM($B7:C7)</f>
        <v>117800</v>
      </c>
      <c r="D16" s="14" t="n">
        <f aca="false">SUM($B7:D7)</f>
        <v>243374.8</v>
      </c>
      <c r="E16" s="14" t="n">
        <f aca="false">SUM($B7:E7)</f>
        <v>377237.5368</v>
      </c>
      <c r="F16" s="14" t="n">
        <f aca="false">SUM($B7:F7)</f>
        <v>519935.2142288</v>
      </c>
      <c r="G16" s="14" t="n">
        <f aca="false">SUM($B7:G7)</f>
        <v>672050.938367901</v>
      </c>
      <c r="H16" s="14" t="n">
        <f aca="false">SUM($B7:H7)</f>
        <v>834206.300300182</v>
      </c>
      <c r="I16" s="14" t="n">
        <f aca="false">SUM($B7:I7)</f>
        <v>1007063.91611999</v>
      </c>
    </row>
    <row r="17" customFormat="false" ht="15" hidden="false" customHeight="false" outlineLevel="0" collapsed="false">
      <c r="A17" s="3" t="s">
        <v>33</v>
      </c>
      <c r="B17" s="14" t="n">
        <f aca="false">SUM($B9:B9)</f>
        <v>285000</v>
      </c>
      <c r="C17" s="14" t="n">
        <f aca="false">SUM($B9:C9)</f>
        <v>345900</v>
      </c>
      <c r="D17" s="14" t="n">
        <f aca="false">SUM($B9:D9)</f>
        <v>407408</v>
      </c>
      <c r="E17" s="14" t="n">
        <f aca="false">SUM($B9:E9)</f>
        <v>469548.32</v>
      </c>
      <c r="F17" s="14" t="n">
        <f aca="false">SUM($B9:F9)</f>
        <v>532346.2528</v>
      </c>
      <c r="G17" s="14" t="n">
        <f aca="false">SUM($B9:G9)</f>
        <v>595828.102912</v>
      </c>
      <c r="H17" s="14" t="n">
        <f aca="false">SUM($B9:H9)</f>
        <v>660021.22702848</v>
      </c>
      <c r="I17" s="14" t="n">
        <f aca="false">SUM($B9:I9)</f>
        <v>664954.076109619</v>
      </c>
    </row>
    <row r="18" customFormat="false" ht="15" hidden="false" customHeight="false" outlineLevel="0" collapsed="false">
      <c r="A18" s="3" t="s">
        <v>34</v>
      </c>
      <c r="B18" s="14" t="n">
        <f aca="false">SUM($B10:B10)</f>
        <v>0</v>
      </c>
      <c r="C18" s="14" t="n">
        <f aca="false">SUM($B10:C10)</f>
        <v>131700</v>
      </c>
      <c r="D18" s="14" t="n">
        <f aca="false">SUM($B10:D10)</f>
        <v>264008</v>
      </c>
      <c r="E18" s="14" t="n">
        <f aca="false">SUM($B10:E10)</f>
        <v>396948.32</v>
      </c>
      <c r="F18" s="14" t="n">
        <f aca="false">SUM($B10:F10)</f>
        <v>530546.2528</v>
      </c>
      <c r="G18" s="14" t="n">
        <f aca="false">SUM($B10:G10)</f>
        <v>679828.102912</v>
      </c>
      <c r="H18" s="14" t="n">
        <f aca="false">SUM($B10:H10)</f>
        <v>744021.22702848</v>
      </c>
      <c r="I18" s="14" t="n">
        <f aca="false">SUM($B10:I10)</f>
        <v>748954.076109619</v>
      </c>
    </row>
    <row r="20" customFormat="false" ht="15" hidden="false" customHeight="false" outlineLevel="0" collapsed="false">
      <c r="A20" s="2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B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2"/>
  </cols>
  <sheetData>
    <row r="1" customFormat="false" ht="18.55" hidden="false" customHeight="false" outlineLevel="0" collapsed="false">
      <c r="A1" s="1" t="s">
        <v>39</v>
      </c>
    </row>
    <row r="2" customFormat="false" ht="15" hidden="false" customHeight="false" outlineLevel="0" collapsed="false">
      <c r="A2" s="2" t="s">
        <v>40</v>
      </c>
    </row>
    <row r="4" customFormat="false" ht="15" hidden="false" customHeight="false" outlineLevel="0" collapsed="false">
      <c r="A4" s="3" t="s">
        <v>41</v>
      </c>
      <c r="B4" s="14" t="n">
        <f aca="false">Flux!J7</f>
        <v>734459.382502056</v>
      </c>
    </row>
    <row r="5" customFormat="false" ht="15" hidden="false" customHeight="false" outlineLevel="0" collapsed="false">
      <c r="A5" s="3" t="s">
        <v>42</v>
      </c>
      <c r="B5" s="14" t="n">
        <f aca="false">Flux!J9</f>
        <v>576144.937469135</v>
      </c>
    </row>
    <row r="7" customFormat="false" ht="15" hidden="false" customHeight="false" outlineLevel="0" collapsed="false">
      <c r="A7" s="17" t="s">
        <v>43</v>
      </c>
    </row>
    <row r="8" customFormat="false" ht="15" hidden="false" customHeight="false" outlineLevel="0" collapsed="false">
      <c r="A8" s="18" t="s">
        <v>44</v>
      </c>
      <c r="B8" s="18" t="s">
        <v>31</v>
      </c>
    </row>
    <row r="9" customFormat="false" ht="15" hidden="false" customHeight="false" outlineLevel="0" collapsed="false">
      <c r="A9" s="18" t="s">
        <v>45</v>
      </c>
      <c r="B9" s="18" t="s">
        <v>46</v>
      </c>
    </row>
    <row r="10" customFormat="false" ht="15" hidden="false" customHeight="false" outlineLevel="0" collapsed="false">
      <c r="A10" s="18" t="s">
        <v>47</v>
      </c>
      <c r="B10" s="18" t="s">
        <v>48</v>
      </c>
    </row>
    <row r="13" customFormat="false" ht="15" hidden="false" customHeight="false" outlineLevel="0" collapsed="false">
      <c r="A13" s="13" t="s">
        <v>39</v>
      </c>
      <c r="B13" s="15" t="n">
        <f aca="false">B5-B4</f>
        <v>-158314.445032922</v>
      </c>
    </row>
  </sheetData>
  <conditionalFormatting sqref="B13">
    <cfRule type="cellIs" priority="2" operator="lessThan" aboveAverage="0" equalAverage="0" bottom="0" percent="0" rank="0" text="" dxfId="0">
      <formula>0</formula>
    </cfRule>
    <cfRule type="cellIs" priority="3" operator="greaterThanOrEqual" aboveAverage="0" equalAverage="0" bottom="0" percent="0" rank="0" text="" dxfId="1">
      <formula>0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2026-10-21T19:24:42Z</dcterms:created>
  <dc:creator>openpyxl</dc:creator>
  <dc:description/>
  <dc:language>en-US</dc:language>
  <cp:lastModifiedBy/>
  <dcterms:modified xsi:type="dcterms:W3CDTF">2026-10-21T15:24:44Z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